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-pec\Documents\podnikání\PMO\2024\5 Šišemka, Šišma, oprava toku\00 prováděčka\"/>
    </mc:Choice>
  </mc:AlternateContent>
  <xr:revisionPtr revIDLastSave="0" documentId="13_ncr:1_{AF75BBEF-48A9-46E2-8A7A-7A19647D07E4}" xr6:coauthVersionLast="47" xr6:coauthVersionMax="47" xr10:uidLastSave="{00000000-0000-0000-0000-000000000000}"/>
  <bookViews>
    <workbookView xWindow="-108" yWindow="-108" windowWidth="23256" windowHeight="12456" xr2:uid="{B2436F95-3015-42FA-A7F6-D2E7C7E39781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23" i="1" l="1"/>
  <c r="P19" i="1"/>
  <c r="O19" i="1"/>
  <c r="M10" i="1"/>
  <c r="O17" i="1"/>
  <c r="P17" i="1"/>
  <c r="P23" i="1" s="1"/>
  <c r="N23" i="1"/>
  <c r="S23" i="1"/>
  <c r="L21" i="1"/>
  <c r="M21" i="1" s="1"/>
  <c r="R20" i="1"/>
  <c r="Q20" i="1"/>
  <c r="G20" i="1"/>
  <c r="J20" i="1"/>
  <c r="I20" i="1"/>
  <c r="H20" i="1"/>
  <c r="T19" i="1"/>
  <c r="U19" i="1"/>
  <c r="M19" i="1"/>
  <c r="L19" i="1"/>
  <c r="I18" i="1"/>
  <c r="H18" i="1"/>
  <c r="J18" i="1"/>
  <c r="G18" i="1"/>
  <c r="R18" i="1"/>
  <c r="Q18" i="1"/>
  <c r="U17" i="1"/>
  <c r="T17" i="1"/>
  <c r="G17" i="1"/>
  <c r="H17" i="1"/>
  <c r="S17" i="1"/>
  <c r="H16" i="1"/>
  <c r="G16" i="1"/>
  <c r="K16" i="1"/>
  <c r="J16" i="1"/>
  <c r="I16" i="1"/>
  <c r="Q16" i="1"/>
  <c r="R16" i="1" s="1"/>
  <c r="L15" i="1"/>
  <c r="M15" i="1"/>
  <c r="V10" i="1"/>
  <c r="V23" i="1" s="1"/>
  <c r="L10" i="1"/>
  <c r="T10" i="1"/>
  <c r="T23" i="1" s="1"/>
  <c r="U10" i="1"/>
  <c r="U23" i="1" s="1"/>
  <c r="E10" i="1"/>
  <c r="H10" i="1"/>
  <c r="J9" i="1"/>
  <c r="I9" i="1"/>
  <c r="H9" i="1"/>
  <c r="Q9" i="1"/>
  <c r="R9" i="1" s="1"/>
  <c r="G9" i="1"/>
  <c r="K8" i="1"/>
  <c r="J8" i="1"/>
  <c r="I8" i="1"/>
  <c r="G8" i="1"/>
  <c r="H8" i="1"/>
  <c r="F8" i="1"/>
  <c r="Q8" i="1"/>
  <c r="R8" i="1" s="1"/>
  <c r="E7" i="1"/>
  <c r="L6" i="1"/>
  <c r="M6" i="1" s="1"/>
  <c r="M23" i="1" s="1"/>
  <c r="E6" i="1"/>
  <c r="D18" i="1"/>
  <c r="D19" i="1"/>
  <c r="D20" i="1"/>
  <c r="D21" i="1"/>
  <c r="D16" i="1"/>
  <c r="D15" i="1"/>
  <c r="D14" i="1"/>
  <c r="K14" i="1" s="1"/>
  <c r="D13" i="1"/>
  <c r="K13" i="1" s="1"/>
  <c r="D12" i="1"/>
  <c r="R12" i="1" s="1"/>
  <c r="D11" i="1"/>
  <c r="K11" i="1" s="1"/>
  <c r="D10" i="1"/>
  <c r="D6" i="1"/>
  <c r="D7" i="1"/>
  <c r="D8" i="1"/>
  <c r="D9" i="1"/>
  <c r="D4" i="1"/>
  <c r="J4" i="1" s="1"/>
  <c r="D5" i="1"/>
  <c r="J5" i="1" s="1"/>
  <c r="D3" i="1"/>
  <c r="E3" i="1" s="1"/>
  <c r="E23" i="1" s="1"/>
  <c r="G13" i="1" l="1"/>
  <c r="G12" i="1"/>
  <c r="H12" i="1"/>
  <c r="L23" i="1"/>
  <c r="I12" i="1"/>
  <c r="J12" i="1"/>
  <c r="K12" i="1"/>
  <c r="Q13" i="1"/>
  <c r="R13" i="1" s="1"/>
  <c r="H13" i="1"/>
  <c r="Q11" i="1"/>
  <c r="R11" i="1" s="1"/>
  <c r="G11" i="1"/>
  <c r="G14" i="1"/>
  <c r="I13" i="1"/>
  <c r="H14" i="1"/>
  <c r="I14" i="1"/>
  <c r="J14" i="1"/>
  <c r="H11" i="1"/>
  <c r="I11" i="1"/>
  <c r="J11" i="1"/>
  <c r="J23" i="1" s="1"/>
  <c r="I5" i="1"/>
  <c r="G4" i="1"/>
  <c r="K5" i="1"/>
  <c r="F5" i="1"/>
  <c r="F23" i="1" s="1"/>
  <c r="Q5" i="1"/>
  <c r="R5" i="1" s="1"/>
  <c r="H5" i="1"/>
  <c r="G5" i="1"/>
  <c r="Q4" i="1"/>
  <c r="K4" i="1"/>
  <c r="K23" i="1" s="1"/>
  <c r="H4" i="1"/>
  <c r="H23" i="1" s="1"/>
  <c r="I4" i="1"/>
  <c r="I23" i="1" s="1"/>
  <c r="R4" i="1" l="1"/>
  <c r="R23" i="1" s="1"/>
  <c r="Q23" i="1"/>
  <c r="G23" i="1"/>
</calcChain>
</file>

<file path=xl/sharedStrings.xml><?xml version="1.0" encoding="utf-8"?>
<sst xmlns="http://schemas.openxmlformats.org/spreadsheetml/2006/main" count="42" uniqueCount="29">
  <si>
    <t>staničení</t>
  </si>
  <si>
    <t>PS</t>
  </si>
  <si>
    <t>skrývka</t>
  </si>
  <si>
    <t>odkopávky</t>
  </si>
  <si>
    <t xml:space="preserve">svahování </t>
  </si>
  <si>
    <t>rovnanina</t>
  </si>
  <si>
    <t>zához</t>
  </si>
  <si>
    <t>urovnání líce</t>
  </si>
  <si>
    <t>čištění spár</t>
  </si>
  <si>
    <t>spárování</t>
  </si>
  <si>
    <t>doplnění zdiva</t>
  </si>
  <si>
    <t>bourání kam zdiva</t>
  </si>
  <si>
    <t>rozebrání rovnanin</t>
  </si>
  <si>
    <t>délka úseku</t>
  </si>
  <si>
    <t xml:space="preserve">od </t>
  </si>
  <si>
    <t>do</t>
  </si>
  <si>
    <t>sediment</t>
  </si>
  <si>
    <t>m</t>
  </si>
  <si>
    <t>m3</t>
  </si>
  <si>
    <t>m2</t>
  </si>
  <si>
    <t>kotvy</t>
  </si>
  <si>
    <t>ks</t>
  </si>
  <si>
    <t>8,9,10</t>
  </si>
  <si>
    <t>rozebrání dlažby</t>
  </si>
  <si>
    <t>dlažba</t>
  </si>
  <si>
    <t>zábradlí</t>
  </si>
  <si>
    <t>použití kamene</t>
  </si>
  <si>
    <t>součet</t>
  </si>
  <si>
    <t>zdivo nadzákl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</si>
</sst>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0" xfId="0" applyAlignment="1">
      <alignment horizontal="center"/>
    </xf>
    <xf numFmtId="164" fontId="0" fillId="2" borderId="0" xfId="0" applyNumberFormat="1" applyFill="1" applyAlignment="1">
      <alignment horizontal="center"/>
    </xf>
    <xf numFmtId="0" fontId="0" fillId="2" borderId="0" xfId="0" applyFill="1" applyAlignment="1">
      <alignment horizontal="center"/>
    </xf>
    <xf numFmtId="0" fontId="0" fillId="2" borderId="0" xfId="0" applyFill="1"/>
    <xf numFmtId="0" fontId="1" fillId="0" borderId="0" xfId="0" applyFont="1" applyAlignment="1">
      <alignment horizontal="center"/>
    </xf>
    <xf numFmtId="0" fontId="1" fillId="2" borderId="0" xfId="0" applyFont="1" applyFill="1" applyAlignment="1">
      <alignment horizontal="center"/>
    </xf>
    <xf numFmtId="0" fontId="0" fillId="3" borderId="0" xfId="0" applyFill="1" applyAlignment="1">
      <alignment horizontal="center"/>
    </xf>
    <xf numFmtId="2" fontId="0" fillId="3" borderId="0" xfId="0" applyNumberFormat="1" applyFill="1" applyAlignment="1">
      <alignment horizontal="center"/>
    </xf>
    <xf numFmtId="0" fontId="0" fillId="3" borderId="0" xfId="0" applyFill="1"/>
    <xf numFmtId="0" fontId="1" fillId="3" borderId="0" xfId="0" applyFont="1" applyFill="1" applyAlignment="1">
      <alignment horizontal="center"/>
    </xf>
    <xf numFmtId="0" fontId="0" fillId="0" borderId="0" xfId="0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0CB0C2-D6BA-4779-955A-909ECC602E86}">
  <dimension ref="A1:V25"/>
  <sheetViews>
    <sheetView tabSelected="1" workbookViewId="0">
      <selection activeCell="O23" sqref="O23"/>
    </sheetView>
  </sheetViews>
  <sheetFormatPr defaultRowHeight="14.4" x14ac:dyDescent="0.3"/>
  <cols>
    <col min="4" max="5" width="10.109375" customWidth="1"/>
    <col min="7" max="7" width="9.77734375" customWidth="1"/>
    <col min="11" max="11" width="12.44140625" customWidth="1"/>
    <col min="12" max="12" width="11.77734375" customWidth="1"/>
    <col min="13" max="13" width="10.6640625" customWidth="1"/>
    <col min="14" max="15" width="12.21875" customWidth="1"/>
    <col min="16" max="16" width="15.77734375" customWidth="1"/>
    <col min="17" max="18" width="17" customWidth="1"/>
    <col min="20" max="20" width="14.44140625" customWidth="1"/>
  </cols>
  <sheetData>
    <row r="1" spans="1:22" x14ac:dyDescent="0.3">
      <c r="A1" s="11" t="s">
        <v>0</v>
      </c>
      <c r="B1" s="11"/>
      <c r="C1" s="1" t="s">
        <v>1</v>
      </c>
      <c r="D1" t="s">
        <v>13</v>
      </c>
      <c r="E1" s="1" t="s">
        <v>16</v>
      </c>
      <c r="F1" s="1" t="s">
        <v>2</v>
      </c>
      <c r="G1" s="1" t="s">
        <v>3</v>
      </c>
      <c r="H1" s="1" t="s">
        <v>4</v>
      </c>
      <c r="I1" s="1" t="s">
        <v>5</v>
      </c>
      <c r="J1" s="1" t="s">
        <v>6</v>
      </c>
      <c r="K1" s="1" t="s">
        <v>7</v>
      </c>
      <c r="L1" s="1" t="s">
        <v>8</v>
      </c>
      <c r="M1" s="1" t="s">
        <v>9</v>
      </c>
      <c r="N1" s="1" t="s">
        <v>10</v>
      </c>
      <c r="O1" s="1" t="s">
        <v>28</v>
      </c>
      <c r="P1" s="1" t="s">
        <v>11</v>
      </c>
      <c r="Q1" s="1" t="s">
        <v>12</v>
      </c>
      <c r="R1" s="1" t="s">
        <v>26</v>
      </c>
      <c r="S1" s="1" t="s">
        <v>20</v>
      </c>
      <c r="T1" s="1" t="s">
        <v>23</v>
      </c>
      <c r="U1" s="1" t="s">
        <v>24</v>
      </c>
      <c r="V1" s="1" t="s">
        <v>25</v>
      </c>
    </row>
    <row r="2" spans="1:22" x14ac:dyDescent="0.3">
      <c r="A2" s="1" t="s">
        <v>14</v>
      </c>
      <c r="B2" s="1" t="s">
        <v>15</v>
      </c>
      <c r="C2" s="1"/>
      <c r="D2" s="1" t="s">
        <v>17</v>
      </c>
      <c r="E2" s="1" t="s">
        <v>18</v>
      </c>
      <c r="F2" s="1" t="s">
        <v>18</v>
      </c>
      <c r="G2" s="1" t="s">
        <v>18</v>
      </c>
      <c r="H2" s="1" t="s">
        <v>19</v>
      </c>
      <c r="I2" s="1" t="s">
        <v>18</v>
      </c>
      <c r="J2" s="1" t="s">
        <v>18</v>
      </c>
      <c r="K2" s="1" t="s">
        <v>19</v>
      </c>
      <c r="L2" s="1" t="s">
        <v>19</v>
      </c>
      <c r="M2" s="1" t="s">
        <v>19</v>
      </c>
      <c r="N2" s="1" t="s">
        <v>18</v>
      </c>
      <c r="O2" s="1"/>
      <c r="P2" s="1" t="s">
        <v>18</v>
      </c>
      <c r="Q2" s="1" t="s">
        <v>18</v>
      </c>
      <c r="R2" s="1" t="s">
        <v>18</v>
      </c>
      <c r="S2" s="1" t="s">
        <v>21</v>
      </c>
      <c r="T2" s="1" t="s">
        <v>19</v>
      </c>
      <c r="U2" s="1" t="s">
        <v>19</v>
      </c>
    </row>
    <row r="3" spans="1:22" s="4" customFormat="1" x14ac:dyDescent="0.3">
      <c r="A3" s="2">
        <v>0</v>
      </c>
      <c r="B3" s="2">
        <v>0.43</v>
      </c>
      <c r="C3" s="3">
        <v>1</v>
      </c>
      <c r="D3" s="3">
        <f>(B3-A3)*1000</f>
        <v>430</v>
      </c>
      <c r="E3" s="3">
        <f>0.25*D3</f>
        <v>107.5</v>
      </c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</row>
    <row r="4" spans="1:22" s="4" customFormat="1" x14ac:dyDescent="0.3">
      <c r="A4" s="2">
        <v>0.43</v>
      </c>
      <c r="B4" s="2">
        <v>0.54500000000000004</v>
      </c>
      <c r="C4" s="3">
        <v>2.2999999999999998</v>
      </c>
      <c r="D4" s="3">
        <f t="shared" ref="D4:D21" si="0">(B4-A4)*1000</f>
        <v>115.00000000000004</v>
      </c>
      <c r="E4" s="3"/>
      <c r="F4" s="3"/>
      <c r="G4" s="3">
        <f>D4*0.5*0.5*2+D4*0.25*2</f>
        <v>115.00000000000004</v>
      </c>
      <c r="H4" s="3">
        <f>D4*(1.25+0.5)*2</f>
        <v>402.50000000000017</v>
      </c>
      <c r="I4" s="3">
        <f>D4*(1.25+0.5)*0.5*2</f>
        <v>201.25000000000009</v>
      </c>
      <c r="J4" s="3">
        <f>D4*(0.25)*2</f>
        <v>57.500000000000021</v>
      </c>
      <c r="K4" s="3">
        <f>D4*(1.25+0.5)*2</f>
        <v>402.50000000000017</v>
      </c>
      <c r="L4" s="3"/>
      <c r="M4" s="3"/>
      <c r="N4" s="3"/>
      <c r="O4" s="3"/>
      <c r="P4" s="3"/>
      <c r="Q4" s="3">
        <f>D4*1.25*0.5*2</f>
        <v>143.75000000000006</v>
      </c>
      <c r="R4" s="3">
        <f>Q4</f>
        <v>143.75000000000006</v>
      </c>
    </row>
    <row r="5" spans="1:22" s="4" customFormat="1" x14ac:dyDescent="0.3">
      <c r="A5" s="2">
        <v>0.54500000000000004</v>
      </c>
      <c r="B5" s="2">
        <v>0.58499999999999996</v>
      </c>
      <c r="C5" s="3">
        <v>4</v>
      </c>
      <c r="D5" s="3">
        <f t="shared" si="0"/>
        <v>39.999999999999922</v>
      </c>
      <c r="E5" s="3"/>
      <c r="F5" s="3">
        <f>D5*2*0.75*0.1</f>
        <v>5.9999999999999893</v>
      </c>
      <c r="G5" s="3">
        <f>D5*0.5*0.5*2+D5*0.25*2+0.75*0.5*2</f>
        <v>40.749999999999922</v>
      </c>
      <c r="H5" s="3">
        <f>D5*(2+0.5)*2</f>
        <v>199.9999999999996</v>
      </c>
      <c r="I5" s="3">
        <f>D5*(2+0.5)*0.5*2</f>
        <v>99.999999999999801</v>
      </c>
      <c r="J5" s="3">
        <f>D5*(0.25)*2</f>
        <v>19.999999999999961</v>
      </c>
      <c r="K5" s="3">
        <f>D5*(2+0.5)*2</f>
        <v>199.9999999999996</v>
      </c>
      <c r="L5" s="3"/>
      <c r="M5" s="3"/>
      <c r="N5" s="3"/>
      <c r="O5" s="3"/>
      <c r="P5" s="3"/>
      <c r="Q5" s="3">
        <f>D5*1.25*0.5*2</f>
        <v>49.999999999999901</v>
      </c>
      <c r="R5" s="3">
        <f>Q5</f>
        <v>49.999999999999901</v>
      </c>
    </row>
    <row r="6" spans="1:22" s="4" customFormat="1" x14ac:dyDescent="0.3">
      <c r="A6" s="3">
        <v>0.6</v>
      </c>
      <c r="B6" s="3">
        <v>0.65</v>
      </c>
      <c r="C6" s="3">
        <v>5</v>
      </c>
      <c r="D6" s="3">
        <f t="shared" si="0"/>
        <v>50.000000000000043</v>
      </c>
      <c r="E6" s="3">
        <f>160*0.25</f>
        <v>40</v>
      </c>
      <c r="F6" s="3"/>
      <c r="G6" s="3"/>
      <c r="H6" s="3"/>
      <c r="I6" s="3"/>
      <c r="J6" s="3"/>
      <c r="K6" s="3"/>
      <c r="L6" s="3">
        <f>22*(1.55+0.5)</f>
        <v>45.099999999999994</v>
      </c>
      <c r="M6" s="3">
        <f>L6*0.5</f>
        <v>22.549999999999997</v>
      </c>
      <c r="N6" s="3">
        <v>1</v>
      </c>
      <c r="O6" s="3"/>
      <c r="P6" s="3"/>
      <c r="Q6" s="3"/>
      <c r="R6" s="3"/>
      <c r="V6" s="4">
        <v>22</v>
      </c>
    </row>
    <row r="7" spans="1:22" s="4" customFormat="1" x14ac:dyDescent="0.3">
      <c r="A7" s="3">
        <v>0.68</v>
      </c>
      <c r="B7" s="3">
        <v>0.68500000000000005</v>
      </c>
      <c r="C7" s="3"/>
      <c r="D7" s="3">
        <f t="shared" si="0"/>
        <v>5.0000000000000044</v>
      </c>
      <c r="E7" s="3">
        <f>3.5*(1+3)*2</f>
        <v>28</v>
      </c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</row>
    <row r="8" spans="1:22" s="4" customFormat="1" x14ac:dyDescent="0.3">
      <c r="A8" s="3">
        <v>0.69499999999999995</v>
      </c>
      <c r="B8" s="3">
        <v>0.71199999999999997</v>
      </c>
      <c r="C8" s="3">
        <v>6</v>
      </c>
      <c r="D8" s="3">
        <f t="shared" si="0"/>
        <v>17.000000000000014</v>
      </c>
      <c r="E8" s="3"/>
      <c r="F8" s="3">
        <f>17*1*0.1</f>
        <v>1.7000000000000002</v>
      </c>
      <c r="G8" s="3">
        <f>17*(1.5+0.5)*0.5</f>
        <v>17</v>
      </c>
      <c r="H8" s="3">
        <f>17*(2+0.5+0.5)</f>
        <v>51</v>
      </c>
      <c r="I8" s="3">
        <f>17*(2+0.5)*0.5</f>
        <v>21.25</v>
      </c>
      <c r="J8" s="3">
        <f>17*0.5</f>
        <v>8.5</v>
      </c>
      <c r="K8" s="3">
        <f>17*(2+0.5)</f>
        <v>42.5</v>
      </c>
      <c r="L8" s="3"/>
      <c r="M8" s="3"/>
      <c r="N8" s="3"/>
      <c r="O8" s="3"/>
      <c r="P8" s="3"/>
      <c r="Q8" s="3">
        <f>17*2*0.5*0.5</f>
        <v>8.5</v>
      </c>
      <c r="R8" s="3">
        <f>Q8*0.5</f>
        <v>4.25</v>
      </c>
    </row>
    <row r="9" spans="1:22" s="4" customFormat="1" x14ac:dyDescent="0.3">
      <c r="A9" s="3">
        <v>0.753</v>
      </c>
      <c r="B9" s="3">
        <v>0.76800000000000002</v>
      </c>
      <c r="C9" s="3">
        <v>7</v>
      </c>
      <c r="D9" s="3">
        <f t="shared" si="0"/>
        <v>15.000000000000014</v>
      </c>
      <c r="E9" s="3"/>
      <c r="F9" s="3"/>
      <c r="G9" s="3">
        <f>15*0.5</f>
        <v>7.5</v>
      </c>
      <c r="H9" s="3">
        <f>15*(1.25+0.5+0.5)</f>
        <v>33.75</v>
      </c>
      <c r="I9" s="3">
        <f>15*(1.25+0.5)*0.5</f>
        <v>13.125</v>
      </c>
      <c r="J9" s="3">
        <f>15*0.5</f>
        <v>7.5</v>
      </c>
      <c r="K9" s="3"/>
      <c r="L9" s="3"/>
      <c r="M9" s="3"/>
      <c r="N9" s="3"/>
      <c r="O9" s="3"/>
      <c r="P9" s="3"/>
      <c r="Q9" s="3">
        <f>15*0.5</f>
        <v>7.5</v>
      </c>
      <c r="R9" s="3">
        <f>Q9*0.5</f>
        <v>3.75</v>
      </c>
    </row>
    <row r="10" spans="1:22" s="4" customFormat="1" x14ac:dyDescent="0.3">
      <c r="A10" s="3">
        <v>0.83499999999999996</v>
      </c>
      <c r="B10" s="3">
        <v>0.98</v>
      </c>
      <c r="C10" s="3" t="s">
        <v>22</v>
      </c>
      <c r="D10" s="3">
        <f t="shared" si="0"/>
        <v>145.00000000000003</v>
      </c>
      <c r="E10" s="3">
        <f>(14+38+18)*0.78</f>
        <v>54.6</v>
      </c>
      <c r="F10" s="3"/>
      <c r="G10" s="3"/>
      <c r="H10" s="3">
        <f>76+28</f>
        <v>104</v>
      </c>
      <c r="I10" s="3"/>
      <c r="J10" s="3"/>
      <c r="K10" s="3"/>
      <c r="L10" s="3">
        <f>14*2+(16+8*2+8.5*2+12*2+16*2+51)*(1.5+0.5)</f>
        <v>340</v>
      </c>
      <c r="M10" s="7">
        <f>(14*2+(16+8*2+8.5*2+12*2+16*2+51)*(1.5+0.5))*0.5</f>
        <v>170</v>
      </c>
      <c r="N10" s="3">
        <v>2</v>
      </c>
      <c r="O10" s="3"/>
      <c r="P10" s="3"/>
      <c r="Q10" s="3"/>
      <c r="R10" s="3"/>
      <c r="T10" s="4">
        <f>(23*(2+0.5)+5*(2+1+2))*0.5</f>
        <v>41.25</v>
      </c>
      <c r="U10" s="4">
        <f>23*(2+0.5)+5*(2+1+2)</f>
        <v>82.5</v>
      </c>
      <c r="V10" s="4">
        <f>14+(16+8+8.5+12+16+51)</f>
        <v>125.5</v>
      </c>
    </row>
    <row r="11" spans="1:22" s="4" customFormat="1" x14ac:dyDescent="0.3">
      <c r="A11" s="3">
        <v>1.0049999999999999</v>
      </c>
      <c r="B11" s="3">
        <v>1.085</v>
      </c>
      <c r="C11" s="3">
        <v>11.12</v>
      </c>
      <c r="D11" s="3">
        <f t="shared" si="0"/>
        <v>80.000000000000071</v>
      </c>
      <c r="E11" s="3"/>
      <c r="F11" s="3"/>
      <c r="G11" s="3">
        <f>D11*0.5*0.5+D11*0.25</f>
        <v>40.000000000000036</v>
      </c>
      <c r="H11" s="3">
        <f>D11*2</f>
        <v>160.00000000000014</v>
      </c>
      <c r="I11" s="3">
        <f>D11*(0.5+1.25)*0.5</f>
        <v>70.000000000000057</v>
      </c>
      <c r="J11" s="3">
        <f>D11*0.25</f>
        <v>20.000000000000018</v>
      </c>
      <c r="K11" s="3">
        <f>D11*(0.5+1.25)</f>
        <v>140.00000000000011</v>
      </c>
      <c r="L11" s="3"/>
      <c r="M11" s="3"/>
      <c r="N11" s="3"/>
      <c r="O11" s="3"/>
      <c r="P11" s="3"/>
      <c r="Q11" s="3">
        <f>D11*1.25*0.5</f>
        <v>50.000000000000043</v>
      </c>
      <c r="R11" s="3">
        <f>Q11</f>
        <v>50.000000000000043</v>
      </c>
    </row>
    <row r="12" spans="1:22" s="4" customFormat="1" x14ac:dyDescent="0.3">
      <c r="A12" s="3">
        <v>1.1000000000000001</v>
      </c>
      <c r="B12" s="3">
        <v>1.155</v>
      </c>
      <c r="C12" s="3">
        <v>13.14</v>
      </c>
      <c r="D12" s="3">
        <f t="shared" si="0"/>
        <v>54.999999999999936</v>
      </c>
      <c r="E12" s="3"/>
      <c r="F12" s="3"/>
      <c r="G12" s="3">
        <f>D12*2*0.5*0.5+D12*2*0.25+D12*2*0.5</f>
        <v>109.99999999999987</v>
      </c>
      <c r="H12" s="3">
        <f>D12*2*(0.5+2+0.5)</f>
        <v>329.9999999999996</v>
      </c>
      <c r="I12" s="3">
        <f>D12*2*(2+0.5)*0.5</f>
        <v>137.49999999999983</v>
      </c>
      <c r="J12" s="3">
        <f>D12*2*0.25</f>
        <v>27.499999999999968</v>
      </c>
      <c r="K12" s="3">
        <f>D12*2*(0.5+2)</f>
        <v>274.99999999999966</v>
      </c>
      <c r="L12" s="3"/>
      <c r="M12" s="3"/>
      <c r="N12" s="3"/>
      <c r="O12" s="3"/>
      <c r="P12" s="3"/>
      <c r="Q12" s="3"/>
      <c r="R12" s="3">
        <f>D12*2*2*0.5*0.2</f>
        <v>21.999999999999975</v>
      </c>
    </row>
    <row r="13" spans="1:22" s="4" customFormat="1" x14ac:dyDescent="0.3">
      <c r="A13" s="3">
        <v>1.155</v>
      </c>
      <c r="B13" s="3">
        <v>1.2170000000000001</v>
      </c>
      <c r="C13" s="3">
        <v>15</v>
      </c>
      <c r="D13" s="3">
        <f t="shared" si="0"/>
        <v>62.000000000000057</v>
      </c>
      <c r="E13" s="3"/>
      <c r="F13" s="3"/>
      <c r="G13" s="3">
        <f>D13*0.5*0.5</f>
        <v>15.500000000000014</v>
      </c>
      <c r="H13" s="3">
        <f>D13*(0.5+1.25)</f>
        <v>108.5000000000001</v>
      </c>
      <c r="I13" s="3">
        <f>D13*(0.5*1.25)*0.5</f>
        <v>19.375000000000018</v>
      </c>
      <c r="J13" s="3"/>
      <c r="K13" s="3">
        <f>D13*(0.5+1.25)</f>
        <v>108.5000000000001</v>
      </c>
      <c r="L13" s="3"/>
      <c r="M13" s="3"/>
      <c r="N13" s="3"/>
      <c r="O13" s="3"/>
      <c r="P13" s="3"/>
      <c r="Q13" s="3">
        <f>D13*1.25*0.5</f>
        <v>38.750000000000036</v>
      </c>
      <c r="R13" s="3">
        <f>Q13</f>
        <v>38.750000000000036</v>
      </c>
    </row>
    <row r="14" spans="1:22" s="4" customFormat="1" x14ac:dyDescent="0.3">
      <c r="A14" s="3">
        <v>1.262</v>
      </c>
      <c r="B14" s="3">
        <v>1.3220000000000001</v>
      </c>
      <c r="C14" s="3">
        <v>16</v>
      </c>
      <c r="D14" s="3">
        <f t="shared" si="0"/>
        <v>60.000000000000057</v>
      </c>
      <c r="E14" s="3"/>
      <c r="F14" s="3"/>
      <c r="G14" s="3">
        <f>D14*(0.5+1.25+0.5)*0.5</f>
        <v>67.500000000000057</v>
      </c>
      <c r="H14" s="3">
        <f>D14*(0.5+1.25+0.5)</f>
        <v>135.00000000000011</v>
      </c>
      <c r="I14" s="3">
        <f>D14*(1.25+0.5)</f>
        <v>105.0000000000001</v>
      </c>
      <c r="J14" s="3">
        <f>D14*0.5</f>
        <v>30.000000000000028</v>
      </c>
      <c r="K14" s="3">
        <f>D14*(0.5+1.25)</f>
        <v>105.0000000000001</v>
      </c>
      <c r="L14" s="3"/>
      <c r="M14" s="3"/>
      <c r="N14" s="3"/>
      <c r="O14" s="3"/>
      <c r="P14" s="3"/>
      <c r="Q14" s="3"/>
      <c r="R14" s="3"/>
    </row>
    <row r="15" spans="1:22" s="4" customFormat="1" x14ac:dyDescent="0.3">
      <c r="A15" s="3">
        <v>1.3220000000000001</v>
      </c>
      <c r="B15" s="3">
        <v>1.33</v>
      </c>
      <c r="C15" s="3">
        <v>17.18</v>
      </c>
      <c r="D15" s="3">
        <f t="shared" si="0"/>
        <v>8.0000000000000071</v>
      </c>
      <c r="E15" s="3"/>
      <c r="F15" s="3"/>
      <c r="G15" s="3"/>
      <c r="H15" s="3"/>
      <c r="I15" s="3"/>
      <c r="J15" s="3"/>
      <c r="K15" s="3"/>
      <c r="L15" s="3">
        <f>42*1.25+3.2</f>
        <v>55.7</v>
      </c>
      <c r="M15" s="3">
        <f>42*1.25+3.2</f>
        <v>55.7</v>
      </c>
      <c r="N15" s="3">
        <v>1</v>
      </c>
      <c r="O15" s="3"/>
      <c r="P15" s="3"/>
      <c r="Q15" s="3"/>
      <c r="R15" s="3"/>
    </row>
    <row r="16" spans="1:22" s="4" customFormat="1" x14ac:dyDescent="0.3">
      <c r="A16" s="3">
        <v>1.3660000000000001</v>
      </c>
      <c r="B16" s="3">
        <v>1.385</v>
      </c>
      <c r="C16" s="3"/>
      <c r="D16" s="3">
        <f t="shared" si="0"/>
        <v>18.999999999999908</v>
      </c>
      <c r="E16" s="3"/>
      <c r="F16" s="3"/>
      <c r="G16" s="3">
        <f>(10+9)*(0.25+0.5)</f>
        <v>14.25</v>
      </c>
      <c r="H16" s="3">
        <f>(10+9)*(1.25+0.5)</f>
        <v>33.25</v>
      </c>
      <c r="I16" s="3">
        <f>(10+9)*1.25*0.5</f>
        <v>11.875</v>
      </c>
      <c r="J16" s="3">
        <f>(10+9)*0.25</f>
        <v>4.75</v>
      </c>
      <c r="K16" s="3">
        <f>(10+9)*1.25</f>
        <v>23.75</v>
      </c>
      <c r="L16" s="3"/>
      <c r="M16" s="3"/>
      <c r="N16" s="3"/>
      <c r="O16" s="3"/>
      <c r="P16" s="3"/>
      <c r="Q16" s="3">
        <f>(10+9)*1*0.5</f>
        <v>9.5</v>
      </c>
      <c r="R16" s="3">
        <f>Q16*0.3</f>
        <v>2.85</v>
      </c>
    </row>
    <row r="17" spans="1:22" s="9" customFormat="1" x14ac:dyDescent="0.3">
      <c r="A17" s="7">
        <v>1.385</v>
      </c>
      <c r="B17" s="7">
        <v>1.385</v>
      </c>
      <c r="C17" s="8">
        <v>19.2</v>
      </c>
      <c r="D17" s="7"/>
      <c r="E17" s="7"/>
      <c r="F17" s="7"/>
      <c r="G17" s="7">
        <f>5*2*0.5+2*(1.1+0.5+2+0.5)*0.5</f>
        <v>9.1</v>
      </c>
      <c r="H17" s="7">
        <f>5*(2.75+2+2.75)+2*(1.1+2+0.5+0.5)</f>
        <v>45.7</v>
      </c>
      <c r="I17" s="7"/>
      <c r="J17" s="7"/>
      <c r="K17" s="7"/>
      <c r="L17" s="7"/>
      <c r="M17" s="7"/>
      <c r="O17" s="7">
        <f>2.5*(1.1+2.5+2)*0.3</f>
        <v>4.2</v>
      </c>
      <c r="P17" s="7">
        <f>1*(1.1+2.5+2)*2.5</f>
        <v>14</v>
      </c>
      <c r="Q17" s="7"/>
      <c r="R17" s="7"/>
      <c r="S17" s="9">
        <f>(1.1+2.5+2)*4*2+0.2</f>
        <v>45</v>
      </c>
      <c r="T17" s="9">
        <f>5*(2+1.5+2)+2*(1.1+2.5+2)</f>
        <v>38.700000000000003</v>
      </c>
      <c r="U17" s="9">
        <f>5*(2.2+2+2.2)+2*(1.1+2.5+2)</f>
        <v>43.2</v>
      </c>
    </row>
    <row r="18" spans="1:22" s="4" customFormat="1" x14ac:dyDescent="0.3">
      <c r="A18" s="3">
        <v>1.385</v>
      </c>
      <c r="B18" s="3">
        <v>1.417</v>
      </c>
      <c r="C18" s="3">
        <v>21</v>
      </c>
      <c r="D18" s="3">
        <f t="shared" si="0"/>
        <v>32.000000000000028</v>
      </c>
      <c r="E18" s="3"/>
      <c r="F18" s="3"/>
      <c r="G18" s="3">
        <f>(14+15)*2*0.5</f>
        <v>29</v>
      </c>
      <c r="H18" s="3">
        <f>(14+15)*(0.5+1.15+1+1.15+0.5)</f>
        <v>124.69999999999999</v>
      </c>
      <c r="I18" s="3">
        <f>(14+15)*(1.15+1+1.15)*0.5</f>
        <v>47.849999999999994</v>
      </c>
      <c r="J18" s="3">
        <f>G18</f>
        <v>29</v>
      </c>
      <c r="K18" s="3"/>
      <c r="L18" s="3"/>
      <c r="M18" s="3"/>
      <c r="N18" s="3"/>
      <c r="O18" s="3"/>
      <c r="P18" s="3"/>
      <c r="Q18" s="3">
        <f>(14+15)*(1.15+1+1.15)</f>
        <v>95.699999999999989</v>
      </c>
      <c r="R18" s="3">
        <f>(14*0.5+15*0.7)*(1.15+1+1.15)</f>
        <v>57.75</v>
      </c>
    </row>
    <row r="19" spans="1:22" s="9" customFormat="1" x14ac:dyDescent="0.3">
      <c r="A19" s="7">
        <v>1.421</v>
      </c>
      <c r="B19" s="7">
        <v>1.431</v>
      </c>
      <c r="C19" s="7">
        <v>22</v>
      </c>
      <c r="D19" s="7">
        <f t="shared" si="0"/>
        <v>10.000000000000009</v>
      </c>
      <c r="E19" s="7"/>
      <c r="F19" s="7"/>
      <c r="G19" s="7"/>
      <c r="H19" s="7"/>
      <c r="I19" s="7"/>
      <c r="J19" s="7"/>
      <c r="K19" s="7"/>
      <c r="L19" s="7">
        <f>16.5*1.3+2.75</f>
        <v>24.2</v>
      </c>
      <c r="M19" s="7">
        <f>L19</f>
        <v>24.2</v>
      </c>
      <c r="O19" s="7">
        <f>6*2*0.5</f>
        <v>6</v>
      </c>
      <c r="P19" s="7">
        <f>O19</f>
        <v>6</v>
      </c>
      <c r="R19" s="7"/>
      <c r="T19" s="9">
        <f>13.5+11.2</f>
        <v>24.7</v>
      </c>
      <c r="U19" s="7">
        <f>2*13.5</f>
        <v>27</v>
      </c>
    </row>
    <row r="20" spans="1:22" s="4" customFormat="1" x14ac:dyDescent="0.3">
      <c r="A20" s="3">
        <v>1.431</v>
      </c>
      <c r="B20" s="3">
        <v>1.446</v>
      </c>
      <c r="C20" s="3">
        <v>23.24</v>
      </c>
      <c r="D20" s="3">
        <f t="shared" si="0"/>
        <v>14.999999999999902</v>
      </c>
      <c r="E20" s="3"/>
      <c r="F20" s="3"/>
      <c r="G20" s="3">
        <f>20+(15+10)*0.5</f>
        <v>32.5</v>
      </c>
      <c r="H20" s="3">
        <f>5*(2+2+2)</f>
        <v>30</v>
      </c>
      <c r="I20" s="3">
        <f>(10+5)*(2+1.1+2)*0.5+5*(2+2+2)*0.5</f>
        <v>53.25</v>
      </c>
      <c r="J20" s="3">
        <f>(15+10+5*2)*0.5</f>
        <v>17.5</v>
      </c>
      <c r="K20" s="3"/>
      <c r="L20" s="3"/>
      <c r="M20" s="3"/>
      <c r="N20" s="3"/>
      <c r="O20" s="3"/>
      <c r="P20" s="3"/>
      <c r="Q20" s="3">
        <f>5*(2+1.1+2)*0.5+10*(2+1.1+2)*0.5*0.5</f>
        <v>25.5</v>
      </c>
      <c r="R20" s="3">
        <f>5*(2+1.1+2)*0.5+10*(2+1.1+2)*0.5*0.5*0.5</f>
        <v>19.125</v>
      </c>
    </row>
    <row r="21" spans="1:22" s="4" customFormat="1" x14ac:dyDescent="0.3">
      <c r="A21" s="3">
        <v>1.486</v>
      </c>
      <c r="B21" s="3">
        <v>1.506</v>
      </c>
      <c r="C21" s="3">
        <v>25</v>
      </c>
      <c r="D21" s="3">
        <f t="shared" si="0"/>
        <v>20.000000000000018</v>
      </c>
      <c r="E21" s="3"/>
      <c r="F21" s="3"/>
      <c r="G21" s="3"/>
      <c r="H21" s="3"/>
      <c r="I21" s="3"/>
      <c r="J21" s="3"/>
      <c r="K21" s="3"/>
      <c r="L21" s="3">
        <f>D21*(2+3)/2+D21*0.5</f>
        <v>60.00000000000005</v>
      </c>
      <c r="M21" s="3">
        <f>L21*0.5</f>
        <v>30.000000000000025</v>
      </c>
      <c r="N21" s="3">
        <v>1</v>
      </c>
      <c r="O21" s="3"/>
      <c r="P21" s="3"/>
      <c r="Q21" s="3"/>
      <c r="R21" s="3"/>
    </row>
    <row r="22" spans="1:22" x14ac:dyDescent="0.3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</row>
    <row r="23" spans="1:22" x14ac:dyDescent="0.3">
      <c r="A23" s="5" t="s">
        <v>27</v>
      </c>
      <c r="B23" s="1"/>
      <c r="C23" s="1"/>
      <c r="D23" s="1"/>
      <c r="E23" s="6">
        <f>SUM(E3:E21)</f>
        <v>230.1</v>
      </c>
      <c r="F23" s="6">
        <f t="shared" ref="F23:V23" si="1">SUM(F3:F21)</f>
        <v>7.6999999999999895</v>
      </c>
      <c r="G23" s="6">
        <f t="shared" si="1"/>
        <v>498.09999999999997</v>
      </c>
      <c r="H23" s="6">
        <f t="shared" si="1"/>
        <v>1758.3999999999996</v>
      </c>
      <c r="I23" s="6">
        <f t="shared" si="1"/>
        <v>780.47499999999991</v>
      </c>
      <c r="J23" s="6">
        <f t="shared" si="1"/>
        <v>222.25</v>
      </c>
      <c r="K23" s="6">
        <f t="shared" si="1"/>
        <v>1297.2499999999995</v>
      </c>
      <c r="L23" s="6">
        <f t="shared" si="1"/>
        <v>525</v>
      </c>
      <c r="M23" s="10">
        <f t="shared" si="1"/>
        <v>302.45</v>
      </c>
      <c r="N23" s="6">
        <f t="shared" si="1"/>
        <v>5</v>
      </c>
      <c r="O23" s="10">
        <f>O19+O17</f>
        <v>10.199999999999999</v>
      </c>
      <c r="P23" s="10">
        <f t="shared" si="1"/>
        <v>20</v>
      </c>
      <c r="Q23" s="6">
        <f t="shared" si="1"/>
        <v>429.20000000000005</v>
      </c>
      <c r="R23" s="6">
        <f t="shared" si="1"/>
        <v>392.22500000000008</v>
      </c>
      <c r="S23" s="6">
        <f t="shared" si="1"/>
        <v>45</v>
      </c>
      <c r="T23" s="6">
        <f t="shared" si="1"/>
        <v>104.65</v>
      </c>
      <c r="U23" s="6">
        <f t="shared" si="1"/>
        <v>152.69999999999999</v>
      </c>
      <c r="V23" s="6">
        <f t="shared" si="1"/>
        <v>147.5</v>
      </c>
    </row>
    <row r="24" spans="1:22" x14ac:dyDescent="0.3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</row>
    <row r="25" spans="1:22" x14ac:dyDescent="0.3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</row>
  </sheetData>
  <mergeCells count="1">
    <mergeCell ref="A1:B1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Tomáš Pecival</dc:creator>
  <cp:lastModifiedBy>Tomáš Pecival</cp:lastModifiedBy>
  <dcterms:created xsi:type="dcterms:W3CDTF">2025-09-23T20:19:36Z</dcterms:created>
  <dcterms:modified xsi:type="dcterms:W3CDTF">2025-11-08T11:36:00Z</dcterms:modified>
</cp:coreProperties>
</file>